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95" windowHeight="7425" tabRatio="599" activeTab="2"/>
  </bookViews>
  <sheets>
    <sheet name="ИБР" sheetId="3" r:id="rId1"/>
    <sheet name="ИНП" sheetId="1" r:id="rId2"/>
    <sheet name="Дот" sheetId="2" r:id="rId3"/>
  </sheets>
  <externalReferences>
    <externalReference r:id="rId4"/>
    <externalReference r:id="rId5"/>
  </externalReferences>
  <definedNames>
    <definedName name="_lst2">[1]rr!$D$5:$E$46</definedName>
    <definedName name="vb">[1]rr!$D$3</definedName>
    <definedName name="_xlnm.Print_Titles" localSheetId="2">Дот!$A:$B</definedName>
    <definedName name="_xlnm.Print_Titles" localSheetId="0">ИБР!$A:$B</definedName>
    <definedName name="_xlnm.Print_Titles" localSheetId="1">ИНП!$A:$B</definedName>
    <definedName name="_xlnm.Print_Area" localSheetId="0">ИБР!$A$1:$Y$10</definedName>
    <definedName name="_xlnm.Print_Area" localSheetId="1">ИНП!$A$1:$T$10</definedName>
  </definedNames>
  <calcPr calcId="124519"/>
</workbook>
</file>

<file path=xl/calcChain.xml><?xml version="1.0" encoding="utf-8"?>
<calcChain xmlns="http://schemas.openxmlformats.org/spreadsheetml/2006/main">
  <c r="M10" i="2"/>
  <c r="I10"/>
  <c r="N10" i="3"/>
  <c r="N6"/>
  <c r="N7"/>
  <c r="N8"/>
  <c r="N9"/>
  <c r="D10"/>
  <c r="K10" i="2"/>
  <c r="C6"/>
  <c r="C7"/>
  <c r="C8"/>
  <c r="C9"/>
  <c r="D10" i="1"/>
  <c r="C10"/>
  <c r="Q10"/>
  <c r="H10" i="3"/>
  <c r="J6" s="1"/>
  <c r="C10"/>
  <c r="K10" s="1"/>
  <c r="R10" s="1"/>
  <c r="L10" i="1"/>
  <c r="H10"/>
  <c r="M10"/>
  <c r="I10"/>
  <c r="L6" i="3"/>
  <c r="M6"/>
  <c r="Q6" s="1"/>
  <c r="L7"/>
  <c r="M7"/>
  <c r="Q7" s="1"/>
  <c r="L8"/>
  <c r="M8"/>
  <c r="Q8" s="1"/>
  <c r="L9"/>
  <c r="M9"/>
  <c r="S9" s="1"/>
  <c r="C3"/>
  <c r="I6"/>
  <c r="I7"/>
  <c r="I8"/>
  <c r="I9"/>
  <c r="E10"/>
  <c r="L10" s="1"/>
  <c r="E10" i="1"/>
  <c r="M10" i="3"/>
  <c r="Q10" s="1"/>
  <c r="S7"/>
  <c r="P8"/>
  <c r="J10" i="1" l="1"/>
  <c r="F10"/>
  <c r="G9" s="1"/>
  <c r="K7" i="3"/>
  <c r="O7" s="1"/>
  <c r="K9"/>
  <c r="O9" s="1"/>
  <c r="I10"/>
  <c r="K8"/>
  <c r="O8" s="1"/>
  <c r="K6"/>
  <c r="P9"/>
  <c r="S8"/>
  <c r="P7"/>
  <c r="P6"/>
  <c r="J9"/>
  <c r="J8"/>
  <c r="J7"/>
  <c r="J10" s="1"/>
  <c r="N10" i="1"/>
  <c r="O9" s="1"/>
  <c r="Q9" i="3"/>
  <c r="V9" s="1"/>
  <c r="K6" i="1"/>
  <c r="K8"/>
  <c r="K7"/>
  <c r="K4"/>
  <c r="K9"/>
  <c r="G6"/>
  <c r="G7"/>
  <c r="G8"/>
  <c r="G4"/>
  <c r="R8" i="3"/>
  <c r="W8" s="1"/>
  <c r="S6"/>
  <c r="O10"/>
  <c r="T10" s="1"/>
  <c r="C10" i="2"/>
  <c r="W10" i="3"/>
  <c r="V8"/>
  <c r="V6"/>
  <c r="V10"/>
  <c r="P10"/>
  <c r="S10"/>
  <c r="R7"/>
  <c r="W7" s="1"/>
  <c r="V7"/>
  <c r="R9" l="1"/>
  <c r="W9" s="1"/>
  <c r="O6"/>
  <c r="T6" s="1"/>
  <c r="R6"/>
  <c r="W6" s="1"/>
  <c r="T9"/>
  <c r="O4" i="1"/>
  <c r="O6"/>
  <c r="P6" s="1"/>
  <c r="R6" s="1"/>
  <c r="S6" s="1"/>
  <c r="O8"/>
  <c r="P8" s="1"/>
  <c r="R8" s="1"/>
  <c r="S8" s="1"/>
  <c r="O7"/>
  <c r="P7" s="1"/>
  <c r="R7" s="1"/>
  <c r="S7" s="1"/>
  <c r="P9"/>
  <c r="R9" s="1"/>
  <c r="S9" s="1"/>
  <c r="K10"/>
  <c r="X9" i="3"/>
  <c r="X6"/>
  <c r="T7"/>
  <c r="T8"/>
  <c r="X8"/>
  <c r="U8"/>
  <c r="U7"/>
  <c r="U10"/>
  <c r="U6"/>
  <c r="X7"/>
  <c r="X10"/>
  <c r="U9"/>
  <c r="Y6" l="1"/>
  <c r="E6" i="2" s="1"/>
  <c r="O10" i="1"/>
  <c r="P10" s="1"/>
  <c r="R10" s="1"/>
  <c r="S10" s="1"/>
  <c r="T9" s="1"/>
  <c r="D9" i="2" s="1"/>
  <c r="Y9" i="3"/>
  <c r="E9" i="2" s="1"/>
  <c r="Y7" i="3"/>
  <c r="E7" i="2" s="1"/>
  <c r="Y8" i="3"/>
  <c r="E8" i="2" s="1"/>
  <c r="Y10" i="3"/>
  <c r="E10" i="2" s="1"/>
  <c r="T10" i="1" l="1"/>
  <c r="D10" i="2" s="1"/>
  <c r="F10" s="1"/>
  <c r="F9"/>
  <c r="G9" s="1"/>
  <c r="T6" i="1"/>
  <c r="D6" i="2" s="1"/>
  <c r="F6" s="1"/>
  <c r="G6" s="1"/>
  <c r="T8" i="1"/>
  <c r="D8" i="2" s="1"/>
  <c r="F8" s="1"/>
  <c r="G8" s="1"/>
  <c r="T7" i="1"/>
  <c r="D7" i="2" s="1"/>
  <c r="F7" s="1"/>
  <c r="G7" s="1"/>
  <c r="G10" l="1"/>
  <c r="H7" s="1"/>
  <c r="J7" s="1"/>
  <c r="L7" s="1"/>
  <c r="H8" l="1"/>
  <c r="J8" s="1"/>
  <c r="L8" s="1"/>
  <c r="H9"/>
  <c r="J9" s="1"/>
  <c r="L9" s="1"/>
  <c r="H6"/>
  <c r="J6" s="1"/>
  <c r="L6" s="1"/>
  <c r="H10"/>
  <c r="J10" s="1"/>
  <c r="L10" s="1"/>
</calcChain>
</file>

<file path=xl/comments1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color indexed="81"/>
            <rFont val="Tahoma"/>
            <family val="2"/>
            <charset val="204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color indexed="81"/>
            <rFont val="Tahoma"/>
            <family val="2"/>
            <charset val="204"/>
          </rPr>
          <t>Занесите в ячейку общую сумму распределяемых дотаций</t>
        </r>
      </text>
    </commen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З</t>
        </r>
        <r>
          <rPr>
            <sz val="8"/>
            <color indexed="81"/>
            <rFont val="Tahoma"/>
            <family val="2"/>
            <charset val="204"/>
          </rPr>
          <t>анесите в ячейку прогнозный объем налоговых и неналоговых доходов поселений</t>
        </r>
      </text>
    </comment>
  </commentList>
</comments>
</file>

<file path=xl/sharedStrings.xml><?xml version="1.0" encoding="utf-8"?>
<sst xmlns="http://schemas.openxmlformats.org/spreadsheetml/2006/main" count="93" uniqueCount="58">
  <si>
    <t>Расчет индекса налогового потенциала</t>
  </si>
  <si>
    <t>№</t>
  </si>
  <si>
    <t>Поселения</t>
  </si>
  <si>
    <t>Числен-ность постоян-ного населения, чел</t>
  </si>
  <si>
    <t>НДФЛ</t>
  </si>
  <si>
    <t>Земельный налог</t>
  </si>
  <si>
    <t>Единый сельхозналог</t>
  </si>
  <si>
    <t>Суммарный налоговый потенциал поселений</t>
  </si>
  <si>
    <t>База налого-обложения (ФОТ)</t>
  </si>
  <si>
    <t>Расчетная ставка</t>
  </si>
  <si>
    <t>Х</t>
  </si>
  <si>
    <t>ИТОГО</t>
  </si>
  <si>
    <t>База налого-обложения</t>
  </si>
  <si>
    <t>Сводный индекс бюджет-ных расходов</t>
  </si>
  <si>
    <t>Бюджетная обеспе-ченность</t>
  </si>
  <si>
    <t>Потреб-ность в средствах для вырав-нивания</t>
  </si>
  <si>
    <t>Прогноз налоговых и неналоговых доходов поселений</t>
  </si>
  <si>
    <t>Расчетный объем дотации на вырав-нивание</t>
  </si>
  <si>
    <t>Индекс бюджетных расходов</t>
  </si>
  <si>
    <t>Расчет индекса бюджетных расходов</t>
  </si>
  <si>
    <t>тыс. руб.</t>
  </si>
  <si>
    <t>в том числе:</t>
  </si>
  <si>
    <t>В насе-ленных пунктах с числен-ностью менее 500 чел.</t>
  </si>
  <si>
    <t>Тарифы на ЖКУ</t>
  </si>
  <si>
    <t>Коэффициенты</t>
  </si>
  <si>
    <t>Условные потребители</t>
  </si>
  <si>
    <t>Отраслевые индексы бюджетных расходов</t>
  </si>
  <si>
    <t>город-ское</t>
  </si>
  <si>
    <t>стоимость тепла за 1 Гкал в месяц, руб</t>
  </si>
  <si>
    <t>стоимость 1 куб.м воды в месяц, руб.</t>
  </si>
  <si>
    <t>Лимиты потребления тепла</t>
  </si>
  <si>
    <t>Затраты на тепло</t>
  </si>
  <si>
    <t>масштаба</t>
  </si>
  <si>
    <t>дисперс-ности расселе-ния</t>
  </si>
  <si>
    <t>уровня урбаниза-ции</t>
  </si>
  <si>
    <t>стоимо-сти комму-нальных услуг</t>
  </si>
  <si>
    <t>Местное самоупра-вление</t>
  </si>
  <si>
    <t>Коммунальное хозяйство</t>
  </si>
  <si>
    <t>Дорожное хозяйство</t>
  </si>
  <si>
    <t>Культура</t>
  </si>
  <si>
    <t>Прочие расходы</t>
  </si>
  <si>
    <t>Расчет дотации на выравнивание</t>
  </si>
  <si>
    <t>Прогноз доходов всего (с учетом дотации на выравнивание)</t>
  </si>
  <si>
    <t>Разрыв</t>
  </si>
  <si>
    <t>Прогноз доходов поселений (налоговые, неналоговые, дотация за счет субвенций из областного бюжета)</t>
  </si>
  <si>
    <t>Прогноз расходов поселений</t>
  </si>
  <si>
    <t>Дотация бюджетам поселений за счет субвенций из областного бюджета</t>
  </si>
  <si>
    <t>Доходный потенциал поселений</t>
  </si>
  <si>
    <t>Доходный потенциал на 1 жителя</t>
  </si>
  <si>
    <t>Индекс доходного потенциала</t>
  </si>
  <si>
    <t>Перевесинское МО</t>
  </si>
  <si>
    <t>Рязанское МО</t>
  </si>
  <si>
    <t>Студеновское МО</t>
  </si>
  <si>
    <t>Турковское МО</t>
  </si>
  <si>
    <t>Иные межбюджетные трансферты на сбалансированность бюджетам поселений</t>
  </si>
  <si>
    <t>Прогноз налога на 2021 год в консолиди-рованный бюджет области</t>
  </si>
  <si>
    <t>Прогноз налога на 2021 год, 100%</t>
  </si>
  <si>
    <t>Прогноз налога на 2021 год в доле поселений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</si>
</sst>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0"/>
  </numFmts>
  <fonts count="1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sz val="8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4"/>
    <xf numFmtId="0" fontId="5" fillId="0" borderId="0" xfId="2" applyFont="1" applyAlignment="1">
      <alignment wrapText="1"/>
    </xf>
    <xf numFmtId="0" fontId="3" fillId="0" borderId="1" xfId="3" applyFill="1" applyBorder="1" applyAlignment="1">
      <alignment horizontal="center" vertical="top" wrapText="1"/>
    </xf>
    <xf numFmtId="0" fontId="3" fillId="2" borderId="1" xfId="4" applyFill="1" applyBorder="1"/>
    <xf numFmtId="0" fontId="3" fillId="2" borderId="0" xfId="4" applyFill="1"/>
    <xf numFmtId="0" fontId="4" fillId="0" borderId="1" xfId="0" applyFont="1" applyFill="1" applyBorder="1"/>
    <xf numFmtId="0" fontId="4" fillId="0" borderId="1" xfId="1" applyFont="1" applyFill="1" applyBorder="1"/>
    <xf numFmtId="3" fontId="8" fillId="3" borderId="1" xfId="2" applyNumberFormat="1" applyFont="1" applyFill="1" applyBorder="1"/>
    <xf numFmtId="164" fontId="4" fillId="3" borderId="1" xfId="1" applyNumberFormat="1" applyFont="1" applyFill="1" applyBorder="1"/>
    <xf numFmtId="164" fontId="4" fillId="4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0" fontId="9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7" fillId="0" borderId="2" xfId="4" applyFont="1" applyBorder="1" applyAlignment="1">
      <alignment horizontal="center" vertical="center" wrapText="1"/>
    </xf>
    <xf numFmtId="0" fontId="3" fillId="3" borderId="1" xfId="4" applyFill="1" applyBorder="1"/>
    <xf numFmtId="164" fontId="8" fillId="0" borderId="1" xfId="2" applyNumberFormat="1" applyFont="1" applyFill="1" applyBorder="1"/>
    <xf numFmtId="0" fontId="3" fillId="0" borderId="0" xfId="4" applyAlignment="1">
      <alignment horizontal="right"/>
    </xf>
    <xf numFmtId="0" fontId="4" fillId="0" borderId="0" xfId="2" applyFont="1"/>
    <xf numFmtId="0" fontId="7" fillId="0" borderId="1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3" fillId="5" borderId="1" xfId="4" applyFill="1" applyBorder="1"/>
    <xf numFmtId="10" fontId="3" fillId="3" borderId="1" xfId="5" applyNumberFormat="1" applyFont="1" applyFill="1" applyBorder="1"/>
    <xf numFmtId="4" fontId="8" fillId="3" borderId="1" xfId="2" applyNumberFormat="1" applyFont="1" applyFill="1" applyBorder="1"/>
    <xf numFmtId="3" fontId="8" fillId="5" borderId="1" xfId="2" applyNumberFormat="1" applyFont="1" applyFill="1" applyBorder="1"/>
    <xf numFmtId="166" fontId="8" fillId="5" borderId="1" xfId="2" applyNumberFormat="1" applyFont="1" applyFill="1" applyBorder="1"/>
    <xf numFmtId="165" fontId="8" fillId="0" borderId="1" xfId="2" applyNumberFormat="1" applyFont="1" applyFill="1" applyBorder="1"/>
    <xf numFmtId="165" fontId="12" fillId="0" borderId="1" xfId="2" applyNumberFormat="1" applyFont="1" applyFill="1" applyBorder="1"/>
    <xf numFmtId="3" fontId="7" fillId="0" borderId="1" xfId="4" applyNumberFormat="1" applyFont="1" applyFill="1" applyBorder="1"/>
    <xf numFmtId="3" fontId="7" fillId="5" borderId="1" xfId="4" applyNumberFormat="1" applyFont="1" applyFill="1" applyBorder="1"/>
    <xf numFmtId="4" fontId="7" fillId="5" borderId="1" xfId="4" applyNumberFormat="1" applyFont="1" applyFill="1" applyBorder="1"/>
    <xf numFmtId="164" fontId="12" fillId="0" borderId="1" xfId="2" applyNumberFormat="1" applyFont="1" applyFill="1" applyBorder="1"/>
    <xf numFmtId="164" fontId="12" fillId="0" borderId="0" xfId="2" applyNumberFormat="1" applyFont="1" applyFill="1" applyBorder="1"/>
    <xf numFmtId="164" fontId="8" fillId="0" borderId="0" xfId="2" applyNumberFormat="1" applyFont="1" applyFill="1" applyBorder="1"/>
    <xf numFmtId="3" fontId="8" fillId="0" borderId="1" xfId="2" applyNumberFormat="1" applyFont="1" applyFill="1" applyBorder="1"/>
    <xf numFmtId="165" fontId="4" fillId="0" borderId="1" xfId="1" applyNumberFormat="1" applyFont="1" applyFill="1" applyBorder="1"/>
    <xf numFmtId="165" fontId="5" fillId="0" borderId="1" xfId="2" applyNumberFormat="1" applyFont="1" applyFill="1" applyBorder="1"/>
    <xf numFmtId="165" fontId="5" fillId="0" borderId="1" xfId="1" applyNumberFormat="1" applyFont="1" applyFill="1" applyBorder="1"/>
    <xf numFmtId="164" fontId="5" fillId="0" borderId="1" xfId="2" applyNumberFormat="1" applyFont="1" applyFill="1" applyBorder="1"/>
    <xf numFmtId="164" fontId="3" fillId="0" borderId="1" xfId="4" applyNumberFormat="1" applyBorder="1"/>
    <xf numFmtId="164" fontId="3" fillId="3" borderId="1" xfId="4" applyNumberFormat="1" applyFill="1" applyBorder="1"/>
    <xf numFmtId="164" fontId="5" fillId="0" borderId="1" xfId="1" applyNumberFormat="1" applyFont="1" applyFill="1" applyBorder="1"/>
    <xf numFmtId="3" fontId="5" fillId="0" borderId="1" xfId="0" applyNumberFormat="1" applyFont="1" applyBorder="1"/>
    <xf numFmtId="0" fontId="13" fillId="0" borderId="0" xfId="4" applyFont="1"/>
    <xf numFmtId="0" fontId="7" fillId="0" borderId="2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</cellXfs>
  <cellStyles count="6">
    <cellStyle name="Normal_Regional Data for IGR" xfId="1"/>
    <cellStyle name="Обычный" xfId="0" builtinId="0"/>
    <cellStyle name="Обычный_Местные бюджеты 2006 - расчет МБТ(2 чтение)" xfId="2"/>
    <cellStyle name="Обычный_налоговый потенциал_2009_2011" xfId="3"/>
    <cellStyle name="Обычный_Поселения2" xfId="4"/>
    <cellStyle name="Процентный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c/P/&#1053;&#1072;&#1083;&#1086;&#1075;&#1086;&#1074;&#1099;&#1081;%20&#1087;&#1086;&#1090;&#1077;&#1085;&#1094;&#1080;&#1072;&#1083;%202005/svp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pp02\Sliv\Orsuf\&#1062;&#1060;&#1055;%20&#1072;&#1087;&#1088;&#1077;&#1083;&#1100;%202005\&#1053;&#1072;&#1096;&#1080;%20&#1076;&#1072;&#1085;&#1085;&#1099;&#1077;\2006\&#1052;&#1077;&#1089;&#1090;&#1085;&#1099;&#1077;%20&#1073;&#1102;&#1076;&#1078;&#1077;&#1090;&#1099;%202006%20-%20&#1088;&#1072;&#1089;&#1095;&#1077;&#1090;%20&#1052;&#1041;&#1058;(2%20&#1095;&#1090;&#1077;&#1085;&#1080;&#107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НДФЛ"/>
      <sheetName val="НИФЛ"/>
      <sheetName val="ЕСХН"/>
      <sheetName val="ЗН"/>
      <sheetName val="sv"/>
      <sheetName val="np"/>
      <sheetName val="МР_ГО"/>
      <sheetName val="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>
            <v>39</v>
          </cell>
        </row>
        <row r="5">
          <cell r="D5" t="str">
            <v>1 Александрово-Гайский</v>
          </cell>
          <cell r="E5">
            <v>7</v>
          </cell>
        </row>
        <row r="6">
          <cell r="D6" t="str">
            <v>2 Аркадакский</v>
          </cell>
          <cell r="E6">
            <v>7</v>
          </cell>
        </row>
        <row r="7">
          <cell r="D7" t="str">
            <v>3 Базарно-Карабулакский</v>
          </cell>
          <cell r="E7">
            <v>13</v>
          </cell>
        </row>
        <row r="8">
          <cell r="D8" t="str">
            <v>4 Балтайский</v>
          </cell>
          <cell r="E8">
            <v>4</v>
          </cell>
        </row>
        <row r="9">
          <cell r="D9" t="str">
            <v>5 Воскресенский</v>
          </cell>
          <cell r="E9">
            <v>3</v>
          </cell>
        </row>
        <row r="10">
          <cell r="D10" t="str">
            <v>6 Дергачевский</v>
          </cell>
          <cell r="E10">
            <v>13</v>
          </cell>
        </row>
        <row r="11">
          <cell r="D11" t="str">
            <v>7 Духовницкий</v>
          </cell>
          <cell r="E11">
            <v>7</v>
          </cell>
        </row>
        <row r="12">
          <cell r="D12" t="str">
            <v>8 Екатериновский</v>
          </cell>
          <cell r="E12">
            <v>14</v>
          </cell>
        </row>
        <row r="13">
          <cell r="D13" t="str">
            <v>9 Ершовский</v>
          </cell>
          <cell r="E13">
            <v>15</v>
          </cell>
        </row>
        <row r="14">
          <cell r="D14" t="str">
            <v>10 Ивантеевский</v>
          </cell>
          <cell r="E14">
            <v>9</v>
          </cell>
        </row>
        <row r="15">
          <cell r="D15" t="str">
            <v>11 Калининский</v>
          </cell>
          <cell r="E15">
            <v>13</v>
          </cell>
        </row>
        <row r="16">
          <cell r="D16" t="str">
            <v>12 Краснокутский</v>
          </cell>
          <cell r="E16">
            <v>13</v>
          </cell>
        </row>
        <row r="17">
          <cell r="D17" t="str">
            <v>13 Краснопартизанский</v>
          </cell>
          <cell r="E17">
            <v>8</v>
          </cell>
        </row>
        <row r="18">
          <cell r="D18" t="str">
            <v>14 Лысогорский</v>
          </cell>
          <cell r="E18">
            <v>11</v>
          </cell>
        </row>
        <row r="19">
          <cell r="D19" t="str">
            <v>15 Новобурасский</v>
          </cell>
          <cell r="E19">
            <v>8</v>
          </cell>
        </row>
        <row r="20">
          <cell r="D20" t="str">
            <v xml:space="preserve">16 Новоузенский </v>
          </cell>
          <cell r="E20">
            <v>12</v>
          </cell>
        </row>
        <row r="21">
          <cell r="D21" t="str">
            <v>17 Озинский</v>
          </cell>
          <cell r="E21">
            <v>11</v>
          </cell>
        </row>
        <row r="22">
          <cell r="D22" t="str">
            <v>18 Перелюбский</v>
          </cell>
          <cell r="E22">
            <v>12</v>
          </cell>
        </row>
        <row r="23">
          <cell r="D23" t="str">
            <v>19 Питерский</v>
          </cell>
          <cell r="E23">
            <v>8</v>
          </cell>
        </row>
        <row r="24">
          <cell r="D24" t="str">
            <v>20 Ровенский</v>
          </cell>
          <cell r="E24">
            <v>8</v>
          </cell>
        </row>
        <row r="25">
          <cell r="D25" t="str">
            <v>21 Романовский</v>
          </cell>
          <cell r="E25">
            <v>8</v>
          </cell>
        </row>
        <row r="26">
          <cell r="D26" t="str">
            <v>22 Самойловский</v>
          </cell>
          <cell r="E26">
            <v>8</v>
          </cell>
        </row>
        <row r="27">
          <cell r="D27" t="str">
            <v>23 Саратовский</v>
          </cell>
          <cell r="E27">
            <v>12</v>
          </cell>
        </row>
        <row r="28">
          <cell r="D28" t="str">
            <v>24 Советский</v>
          </cell>
          <cell r="E28">
            <v>9</v>
          </cell>
        </row>
        <row r="29">
          <cell r="D29" t="str">
            <v>25 Татищевский</v>
          </cell>
          <cell r="E29">
            <v>11</v>
          </cell>
        </row>
        <row r="30">
          <cell r="D30" t="str">
            <v>26 Турковский</v>
          </cell>
          <cell r="E30">
            <v>9</v>
          </cell>
        </row>
        <row r="31">
          <cell r="D31" t="str">
            <v>27 Федоровский</v>
          </cell>
          <cell r="E31">
            <v>15</v>
          </cell>
        </row>
        <row r="32">
          <cell r="D32" t="str">
            <v>28 г.Аткарск</v>
          </cell>
          <cell r="E32">
            <v>15</v>
          </cell>
        </row>
        <row r="33">
          <cell r="D33" t="str">
            <v>29 г.Балаково</v>
          </cell>
          <cell r="E33">
            <v>18</v>
          </cell>
        </row>
        <row r="34">
          <cell r="D34" t="str">
            <v>30 г.Балашов</v>
          </cell>
          <cell r="E34">
            <v>16</v>
          </cell>
        </row>
        <row r="35">
          <cell r="D35" t="str">
            <v>31 г.Вольск</v>
          </cell>
          <cell r="E35">
            <v>15</v>
          </cell>
        </row>
        <row r="36">
          <cell r="D36" t="str">
            <v>32 г.Красноармейск</v>
          </cell>
          <cell r="E36">
            <v>19</v>
          </cell>
        </row>
        <row r="37">
          <cell r="D37" t="str">
            <v>33 г.Маркс</v>
          </cell>
          <cell r="E37">
            <v>7</v>
          </cell>
        </row>
        <row r="38">
          <cell r="D38" t="str">
            <v>34 г.Петровск</v>
          </cell>
          <cell r="E38">
            <v>6</v>
          </cell>
        </row>
        <row r="39">
          <cell r="D39" t="str">
            <v>35 г.Пугачев</v>
          </cell>
          <cell r="E39">
            <v>10</v>
          </cell>
        </row>
        <row r="40">
          <cell r="D40" t="str">
            <v>36 г.Ртищево</v>
          </cell>
          <cell r="E40">
            <v>7</v>
          </cell>
        </row>
        <row r="41">
          <cell r="D41" t="str">
            <v>39 г.Саратов</v>
          </cell>
          <cell r="E41">
            <v>1</v>
          </cell>
        </row>
        <row r="42">
          <cell r="D42" t="str">
            <v>38 г.Хвалынск</v>
          </cell>
          <cell r="E42">
            <v>9</v>
          </cell>
        </row>
        <row r="43">
          <cell r="D43" t="str">
            <v>39 г.Энгельс</v>
          </cell>
          <cell r="E43">
            <v>7</v>
          </cell>
        </row>
        <row r="44">
          <cell r="D44" t="str">
            <v>40 п.Светлый</v>
          </cell>
          <cell r="E44">
            <v>1</v>
          </cell>
        </row>
        <row r="45">
          <cell r="D45" t="str">
            <v>41 г.Шиханы</v>
          </cell>
          <cell r="E45">
            <v>1</v>
          </cell>
        </row>
        <row r="46">
          <cell r="D46" t="str">
            <v>42 п.Михайловский</v>
          </cell>
          <cell r="E4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МР_П"/>
      <sheetName val="Закреп"/>
      <sheetName val="N_НДФЛ"/>
      <sheetName val="N_НДФЛ (ОТ)"/>
      <sheetName val="ОТ_КБМР"/>
      <sheetName val="ОТ_БМР"/>
      <sheetName val="ОТ_БП"/>
      <sheetName val="Отчет 2004"/>
      <sheetName val="Душа"/>
      <sheetName val="Р_отр"/>
      <sheetName val="ИБР"/>
      <sheetName val="МБТ"/>
      <sheetName val="МБТ_2"/>
      <sheetName val="ИНП_МР"/>
      <sheetName val="ИНП_П"/>
      <sheetName val="НП1"/>
      <sheetName val="НП2"/>
      <sheetName val="НП3"/>
      <sheetName val="Дпрог"/>
    </sheetNames>
    <sheetDataSet>
      <sheetData sheetId="0"/>
      <sheetData sheetId="1">
        <row r="3">
          <cell r="C3" t="str">
            <v>Числен-ность постоян-ного населения, чел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Y5" sqref="Y5"/>
    </sheetView>
  </sheetViews>
  <sheetFormatPr defaultColWidth="8" defaultRowHeight="11.25"/>
  <cols>
    <col min="1" max="1" width="3.28515625" style="1" customWidth="1"/>
    <col min="2" max="2" width="22.140625" style="1" customWidth="1"/>
    <col min="3" max="5" width="8.7109375" style="19" customWidth="1"/>
    <col min="6" max="7" width="9" style="19" customWidth="1"/>
    <col min="8" max="10" width="8.7109375" style="19" hidden="1" customWidth="1"/>
    <col min="11" max="14" width="8.7109375" style="19" customWidth="1"/>
    <col min="15" max="15" width="9.85546875" style="19" customWidth="1"/>
    <col min="16" max="17" width="8.7109375" style="19" customWidth="1"/>
    <col min="18" max="18" width="9.5703125" style="19" customWidth="1"/>
    <col min="19" max="19" width="10" style="19" customWidth="1"/>
    <col min="20" max="25" width="8.7109375" style="19" customWidth="1"/>
    <col min="26" max="16384" width="8" style="1"/>
  </cols>
  <sheetData>
    <row r="1" spans="1:25" ht="27" customHeight="1">
      <c r="B1" s="53" t="s">
        <v>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Y2" s="1" t="s">
        <v>20</v>
      </c>
    </row>
    <row r="3" spans="1:25" ht="30.75" customHeight="1">
      <c r="A3" s="49" t="s">
        <v>1</v>
      </c>
      <c r="B3" s="49" t="s">
        <v>2</v>
      </c>
      <c r="C3" s="51" t="str">
        <f>[2]МР_П!C3</f>
        <v>Числен-ность постоян-ного населения, чел</v>
      </c>
      <c r="D3" s="20" t="s">
        <v>21</v>
      </c>
      <c r="E3" s="51" t="s">
        <v>22</v>
      </c>
      <c r="F3" s="48" t="s">
        <v>23</v>
      </c>
      <c r="G3" s="48"/>
      <c r="H3" s="21"/>
      <c r="I3" s="21"/>
      <c r="J3" s="21"/>
      <c r="K3" s="48" t="s">
        <v>24</v>
      </c>
      <c r="L3" s="48"/>
      <c r="M3" s="48"/>
      <c r="N3" s="48"/>
      <c r="O3" s="54" t="s">
        <v>25</v>
      </c>
      <c r="P3" s="55"/>
      <c r="Q3" s="55"/>
      <c r="R3" s="55"/>
      <c r="S3" s="56"/>
      <c r="T3" s="54" t="s">
        <v>26</v>
      </c>
      <c r="U3" s="55"/>
      <c r="V3" s="55"/>
      <c r="W3" s="55"/>
      <c r="X3" s="56"/>
      <c r="Y3" s="46" t="s">
        <v>13</v>
      </c>
    </row>
    <row r="4" spans="1:25" ht="56.25">
      <c r="A4" s="50"/>
      <c r="B4" s="50"/>
      <c r="C4" s="52"/>
      <c r="D4" s="20" t="s">
        <v>27</v>
      </c>
      <c r="E4" s="52"/>
      <c r="F4" s="20" t="s">
        <v>28</v>
      </c>
      <c r="G4" s="20" t="s">
        <v>29</v>
      </c>
      <c r="H4" s="22" t="s">
        <v>30</v>
      </c>
      <c r="I4" s="22" t="s">
        <v>31</v>
      </c>
      <c r="J4" s="22"/>
      <c r="K4" s="20" t="s">
        <v>32</v>
      </c>
      <c r="L4" s="20" t="s">
        <v>33</v>
      </c>
      <c r="M4" s="20" t="s">
        <v>34</v>
      </c>
      <c r="N4" s="20" t="s">
        <v>35</v>
      </c>
      <c r="O4" s="15" t="s">
        <v>36</v>
      </c>
      <c r="P4" s="15" t="s">
        <v>37</v>
      </c>
      <c r="Q4" s="15" t="s">
        <v>38</v>
      </c>
      <c r="R4" s="15" t="s">
        <v>39</v>
      </c>
      <c r="S4" s="15" t="s">
        <v>40</v>
      </c>
      <c r="T4" s="15" t="s">
        <v>36</v>
      </c>
      <c r="U4" s="15" t="s">
        <v>37</v>
      </c>
      <c r="V4" s="15" t="s">
        <v>38</v>
      </c>
      <c r="W4" s="15" t="s">
        <v>39</v>
      </c>
      <c r="X4" s="15" t="s">
        <v>40</v>
      </c>
      <c r="Y4" s="47"/>
    </row>
    <row r="5" spans="1:25" s="5" customFormat="1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0.42570000000000002</v>
      </c>
      <c r="U5" s="24">
        <v>0.2195</v>
      </c>
      <c r="V5" s="24">
        <v>0</v>
      </c>
      <c r="W5" s="24">
        <v>3.4700000000000002E-2</v>
      </c>
      <c r="X5" s="24">
        <v>0.3201</v>
      </c>
      <c r="Y5" s="4"/>
    </row>
    <row r="6" spans="1:25">
      <c r="A6" s="6">
        <v>3</v>
      </c>
      <c r="B6" s="7" t="s">
        <v>50</v>
      </c>
      <c r="C6" s="8">
        <v>667</v>
      </c>
      <c r="D6" s="8"/>
      <c r="E6" s="8">
        <v>327</v>
      </c>
      <c r="F6" s="25">
        <v>1</v>
      </c>
      <c r="G6" s="25">
        <v>1</v>
      </c>
      <c r="H6" s="26">
        <v>16300</v>
      </c>
      <c r="I6" s="26">
        <f t="shared" ref="I6:I9" si="0">F6*H6</f>
        <v>16300</v>
      </c>
      <c r="J6" s="27">
        <f>ИБР!G6*ИБР!H6/ИБР!$H$10</f>
        <v>0.28586711563587897</v>
      </c>
      <c r="K6" s="28">
        <f>IF(C6&lt;&gt;0,0.6+0.4*($C$10/COUNT($A$6:$A$9))/C6,0)</f>
        <v>2.2251874062968517</v>
      </c>
      <c r="L6" s="28">
        <f t="shared" ref="L6:L9" si="1">IF(C6&lt;&gt;0,1+E6/C6,0)</f>
        <v>1.4902548725637181</v>
      </c>
      <c r="M6" s="28">
        <f t="shared" ref="M6:M9" si="2">IF(C6&lt;&gt;0,1+D6/C6,0)</f>
        <v>1</v>
      </c>
      <c r="N6" s="28">
        <f>IF($G$10&lt;&gt;0,0.9+0.1*(0.8*F6/$F$10+0.2*G6/$G$10),0)</f>
        <v>1</v>
      </c>
      <c r="O6" s="17">
        <f t="shared" ref="O6:O10" si="3">C6*K6</f>
        <v>1484.2</v>
      </c>
      <c r="P6" s="17">
        <f t="shared" ref="P6:P10" si="4">C6*L6*M6</f>
        <v>994</v>
      </c>
      <c r="Q6" s="17">
        <f t="shared" ref="Q6:Q10" si="5">C6*M6</f>
        <v>667</v>
      </c>
      <c r="R6" s="17">
        <f t="shared" ref="R6:R10" si="6">C6*K6*N6</f>
        <v>1484.2</v>
      </c>
      <c r="S6" s="17">
        <f t="shared" ref="S6:S10" si="7">C6*L6*M6</f>
        <v>994</v>
      </c>
      <c r="T6" s="28">
        <f>IF(C6&lt;&gt;0,(O6/$C6)/(O$10/$C$10),0)</f>
        <v>2.2251874062968517</v>
      </c>
      <c r="U6" s="28">
        <f>IF(C6&lt;&gt;0,(P6/$C6)/(P$10/$C$10),0)</f>
        <v>0.70335829195542066</v>
      </c>
      <c r="V6" s="28">
        <f>IF(C6&lt;&gt;0,(Q6/$C6)/(Q$10/$C$10),0)</f>
        <v>0.65740796894899634</v>
      </c>
      <c r="W6" s="28">
        <f>IF(C6&lt;&gt;0,(R6/$C6)/(R$10/$C$10),0)</f>
        <v>2.2251874062968517</v>
      </c>
      <c r="X6" s="28">
        <f>IF(C6&lt;&gt;0,(S6/$C6)/(S$10/$C$10),0)</f>
        <v>0.70335829195542066</v>
      </c>
      <c r="Y6" s="29">
        <f t="shared" ref="Y6:Y10" si="8">IF(SUM($T$5:$X$5)=1,T6*$T$5+U6*$U$5+V6*$V$5+W6*$W$5+X6*$X$5,0)</f>
        <v>1.4040084161982156</v>
      </c>
    </row>
    <row r="7" spans="1:25">
      <c r="A7" s="6">
        <v>4</v>
      </c>
      <c r="B7" s="7" t="s">
        <v>51</v>
      </c>
      <c r="C7" s="8">
        <v>2753</v>
      </c>
      <c r="D7" s="8"/>
      <c r="E7" s="8">
        <v>2293</v>
      </c>
      <c r="F7" s="25">
        <v>1</v>
      </c>
      <c r="G7" s="25">
        <v>1</v>
      </c>
      <c r="H7" s="26">
        <v>14080.7</v>
      </c>
      <c r="I7" s="26">
        <f t="shared" si="0"/>
        <v>14080.7</v>
      </c>
      <c r="J7" s="27">
        <f>ИБР!G7*ИБР!H7/ИБР!$H$10</f>
        <v>0.24694534325976203</v>
      </c>
      <c r="K7" s="28">
        <f>IF(C7&lt;&gt;0,0.6+0.4*($C$10/COUNT($A$6:$A$9))/C7,0)</f>
        <v>0.99375227025063562</v>
      </c>
      <c r="L7" s="28">
        <f t="shared" si="1"/>
        <v>1.8329095532146749</v>
      </c>
      <c r="M7" s="28">
        <f t="shared" si="2"/>
        <v>1</v>
      </c>
      <c r="N7" s="28">
        <f>IF($G$10&lt;&gt;0,0.9+0.1*(0.8*F7/$F$10+0.2*G7/$G$10),0)</f>
        <v>1</v>
      </c>
      <c r="O7" s="17">
        <f t="shared" si="3"/>
        <v>2735.7999999999997</v>
      </c>
      <c r="P7" s="17">
        <f t="shared" si="4"/>
        <v>5046</v>
      </c>
      <c r="Q7" s="17">
        <f t="shared" si="5"/>
        <v>2753</v>
      </c>
      <c r="R7" s="17">
        <f t="shared" si="6"/>
        <v>2735.7999999999997</v>
      </c>
      <c r="S7" s="17">
        <f t="shared" si="7"/>
        <v>5046</v>
      </c>
      <c r="T7" s="28">
        <f>IF(C7&lt;&gt;0,(O7/$C7)/(O$10/$C$10),0)</f>
        <v>0.99375227025063562</v>
      </c>
      <c r="U7" s="28">
        <f>IF(C7&lt;&gt;0,(P7/$C7)/(P$10/$C$10),0)</f>
        <v>0.86508164233680473</v>
      </c>
      <c r="V7" s="28">
        <f>IF(C7&lt;&gt;0,(Q7/$C7)/(Q$10/$C$10),0)</f>
        <v>0.65740796894899634</v>
      </c>
      <c r="W7" s="28">
        <f>IF(C7&lt;&gt;0,(R7/$C7)/(R$10/$C$10),0)</f>
        <v>0.99375227025063562</v>
      </c>
      <c r="X7" s="28">
        <f>IF(C7&lt;&gt;0,(S7/$C7)/(S$10/$C$10),0)</f>
        <v>0.86508164233680473</v>
      </c>
      <c r="Y7" s="29">
        <f t="shared" si="8"/>
        <v>0.92432159942833247</v>
      </c>
    </row>
    <row r="8" spans="1:25">
      <c r="A8" s="6">
        <v>5</v>
      </c>
      <c r="B8" s="7" t="s">
        <v>52</v>
      </c>
      <c r="C8" s="8">
        <v>1771</v>
      </c>
      <c r="D8" s="8"/>
      <c r="E8" s="8">
        <v>1629</v>
      </c>
      <c r="F8" s="25">
        <v>1</v>
      </c>
      <c r="G8" s="25">
        <v>1</v>
      </c>
      <c r="H8" s="26">
        <v>20636.3</v>
      </c>
      <c r="I8" s="26">
        <f t="shared" si="0"/>
        <v>20636.3</v>
      </c>
      <c r="J8" s="27">
        <f>ИБР!G8*ИБР!H8/ИБР!$H$10</f>
        <v>0.36191653732495022</v>
      </c>
      <c r="K8" s="28">
        <f>IF(C8&lt;&gt;0,0.6+0.4*($C$10/COUNT($A$6:$A$9))/C8,0)</f>
        <v>1.2120835686053077</v>
      </c>
      <c r="L8" s="28">
        <f t="shared" si="1"/>
        <v>1.919819311123659</v>
      </c>
      <c r="M8" s="28">
        <f t="shared" si="2"/>
        <v>1</v>
      </c>
      <c r="N8" s="28">
        <f>IF($G$10&lt;&gt;0,0.9+0.1*(0.8*F8/$F$10+0.2*G8/$G$10),0)</f>
        <v>1</v>
      </c>
      <c r="O8" s="17">
        <f t="shared" si="3"/>
        <v>2146.6</v>
      </c>
      <c r="P8" s="17">
        <f t="shared" si="4"/>
        <v>3400</v>
      </c>
      <c r="Q8" s="17">
        <f t="shared" si="5"/>
        <v>1771</v>
      </c>
      <c r="R8" s="17">
        <f t="shared" si="6"/>
        <v>2146.6</v>
      </c>
      <c r="S8" s="17">
        <f t="shared" si="7"/>
        <v>3400</v>
      </c>
      <c r="T8" s="28">
        <f>IF(C8&lt;&gt;0,(O8/$C8)/(O$10/$C$10),0)</f>
        <v>1.2120835686053077</v>
      </c>
      <c r="U8" s="28">
        <f>IF(C8&lt;&gt;0,(P8/$C8)/(P$10/$C$10),0)</f>
        <v>0.90610059822316347</v>
      </c>
      <c r="V8" s="28">
        <f>IF(C8&lt;&gt;0,(Q8/$C8)/(Q$10/$C$10),0)</f>
        <v>0.65740796894899634</v>
      </c>
      <c r="W8" s="28">
        <f>IF(C8&lt;&gt;0,(R8/$C8)/(R$10/$C$10),0)</f>
        <v>1.2120835686053077</v>
      </c>
      <c r="X8" s="28">
        <f>IF(C8&lt;&gt;0,(S8/$C8)/(S$10/$C$10),0)</f>
        <v>0.90610059822316347</v>
      </c>
      <c r="Y8" s="29">
        <f t="shared" si="8"/>
        <v>1.0469751577871027</v>
      </c>
    </row>
    <row r="9" spans="1:25">
      <c r="A9" s="6">
        <v>7</v>
      </c>
      <c r="B9" s="7" t="s">
        <v>53</v>
      </c>
      <c r="C9" s="8">
        <v>5649</v>
      </c>
      <c r="D9" s="8">
        <v>5649</v>
      </c>
      <c r="E9" s="8">
        <v>10</v>
      </c>
      <c r="F9" s="25">
        <v>1</v>
      </c>
      <c r="G9" s="25">
        <v>1</v>
      </c>
      <c r="H9" s="26">
        <v>6002.5</v>
      </c>
      <c r="I9" s="26">
        <f t="shared" si="0"/>
        <v>6002.5</v>
      </c>
      <c r="J9" s="27">
        <f>ИБР!G9*ИБР!H9/ИБР!$H$10</f>
        <v>0.1052710037794088</v>
      </c>
      <c r="K9" s="28">
        <f>IF(C9&lt;&gt;0,0.6+0.4*($C$10/COUNT($A$6:$A$9))/C9,0)</f>
        <v>0.79189237033103199</v>
      </c>
      <c r="L9" s="28">
        <f t="shared" si="1"/>
        <v>1.001770224818552</v>
      </c>
      <c r="M9" s="28">
        <f t="shared" si="2"/>
        <v>2</v>
      </c>
      <c r="N9" s="28">
        <f>IF($G$10&lt;&gt;0,0.9+0.1*(0.8*F9/$F$10+0.2*G9/$G$10),0)</f>
        <v>1</v>
      </c>
      <c r="O9" s="17">
        <f t="shared" si="3"/>
        <v>4473.3999999999996</v>
      </c>
      <c r="P9" s="17">
        <f t="shared" si="4"/>
        <v>11318.000000000002</v>
      </c>
      <c r="Q9" s="17">
        <f t="shared" si="5"/>
        <v>11298</v>
      </c>
      <c r="R9" s="17">
        <f t="shared" si="6"/>
        <v>4473.3999999999996</v>
      </c>
      <c r="S9" s="17">
        <f t="shared" si="7"/>
        <v>11318.000000000002</v>
      </c>
      <c r="T9" s="28">
        <f>IF(C9&lt;&gt;0,(O9/$C9)/(O$10/$C$10),0)</f>
        <v>0.79189237033103199</v>
      </c>
      <c r="U9" s="28">
        <f>IF(C9&lt;&gt;0,(P9/$C9)/(P$10/$C$10),0)</f>
        <v>0.9456146156368942</v>
      </c>
      <c r="V9" s="28">
        <f>IF(C9&lt;&gt;0,(Q9/$C9)/(Q$10/$C$10),0)</f>
        <v>1.3148159378979927</v>
      </c>
      <c r="W9" s="28">
        <f>IF(C9&lt;&gt;0,(R9/$C9)/(R$10/$C$10),0)</f>
        <v>0.79189237033103199</v>
      </c>
      <c r="X9" s="28">
        <f>IF(C9&lt;&gt;0,(S9/$C9)/(S$10/$C$10),0)</f>
        <v>0.9456146156368942</v>
      </c>
      <c r="Y9" s="29">
        <f t="shared" si="8"/>
        <v>0.87484089389807529</v>
      </c>
    </row>
    <row r="10" spans="1:25" ht="12.75">
      <c r="A10" s="12"/>
      <c r="B10" s="13" t="s">
        <v>11</v>
      </c>
      <c r="C10" s="30">
        <f>SUM(C6:C9)</f>
        <v>10840</v>
      </c>
      <c r="D10" s="30">
        <f>SUM(D6:D9)</f>
        <v>5649</v>
      </c>
      <c r="E10" s="30">
        <f>SUM(E6:E9)</f>
        <v>4259</v>
      </c>
      <c r="F10" s="25">
        <v>1</v>
      </c>
      <c r="G10" s="25">
        <v>1</v>
      </c>
      <c r="H10" s="31">
        <f>SUM(H6:H9)</f>
        <v>57019.5</v>
      </c>
      <c r="I10" s="31">
        <f>SUM(I6:I9)</f>
        <v>57019.5</v>
      </c>
      <c r="J10" s="32">
        <f>SUM(J6:J9)</f>
        <v>1</v>
      </c>
      <c r="K10" s="29">
        <f>IF(C10&lt;&gt;0,0.6+0.4*($C$10/COUNT($A$6:$A$9))/(C10/COUNT($A$6:$A$9)),0)</f>
        <v>1</v>
      </c>
      <c r="L10" s="29">
        <f>IF(C10&lt;&gt;0,1+E10/C10,0)</f>
        <v>1.3928966789667896</v>
      </c>
      <c r="M10" s="29">
        <f>IF(C10&lt;&gt;0,1+D10/C10,0)</f>
        <v>1.5211254612546126</v>
      </c>
      <c r="N10" s="29">
        <f>IF($G$10&lt;&gt;0,0.9+0.1*(0.8*F10/$F$10+0.2*G10/$G$10),0)</f>
        <v>1</v>
      </c>
      <c r="O10" s="33">
        <f t="shared" si="3"/>
        <v>10840</v>
      </c>
      <c r="P10" s="33">
        <f t="shared" si="4"/>
        <v>22967.473339483397</v>
      </c>
      <c r="Q10" s="33">
        <f t="shared" si="5"/>
        <v>16489</v>
      </c>
      <c r="R10" s="33">
        <f t="shared" si="6"/>
        <v>10840</v>
      </c>
      <c r="S10" s="33">
        <f t="shared" si="7"/>
        <v>22967.473339483397</v>
      </c>
      <c r="T10" s="29">
        <f>IF(C10&lt;&gt;0,(O10/$C10)/(O$10/$C$10),0)</f>
        <v>1</v>
      </c>
      <c r="U10" s="29">
        <f>IF(C10&lt;&gt;0,(P10/$C10)/(P$10/$C$10),0)</f>
        <v>1</v>
      </c>
      <c r="V10" s="29">
        <f>IF(C10&lt;&gt;0,(Q10/$C10)/(Q$10/$C$10),0)</f>
        <v>1</v>
      </c>
      <c r="W10" s="29">
        <f>IF(C10&lt;&gt;0,(R10/$C10)/(R$10/$C$10),0)</f>
        <v>1</v>
      </c>
      <c r="X10" s="29">
        <f>IF(C10&lt;&gt;0,(S10/$C10)/(S$10/$C$10),0)</f>
        <v>1</v>
      </c>
      <c r="Y10" s="29">
        <f t="shared" si="8"/>
        <v>1</v>
      </c>
    </row>
    <row r="11" spans="1: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</sheetData>
  <mergeCells count="10">
    <mergeCell ref="B1:N1"/>
    <mergeCell ref="F3:G3"/>
    <mergeCell ref="E3:E4"/>
    <mergeCell ref="O3:S3"/>
    <mergeCell ref="T3:X3"/>
    <mergeCell ref="Y3:Y4"/>
    <mergeCell ref="K3:N3"/>
    <mergeCell ref="A3:A4"/>
    <mergeCell ref="C3:C4"/>
    <mergeCell ref="B3:B4"/>
  </mergeCells>
  <phoneticPr fontId="4" type="noConversion"/>
  <printOptions horizontalCentered="1" verticalCentered="1"/>
  <pageMargins left="0.31496062992125984" right="0.19685039370078741" top="0.19685039370078741" bottom="0.19685039370078741" header="0.15748031496062992" footer="0.15748031496062992"/>
  <pageSetup paperSize="9" scale="85" orientation="landscape" r:id="rId1"/>
  <headerFooter alignWithMargins="0"/>
  <colBreaks count="1" manualBreakCount="1">
    <brk id="1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K10" sqref="K10"/>
    </sheetView>
  </sheetViews>
  <sheetFormatPr defaultColWidth="8" defaultRowHeight="11.25"/>
  <cols>
    <col min="1" max="1" width="3.28515625" style="1" customWidth="1"/>
    <col min="2" max="2" width="22.140625" style="1" customWidth="1"/>
    <col min="3" max="3" width="10.85546875" style="1" customWidth="1"/>
    <col min="4" max="20" width="12" style="1" customWidth="1"/>
    <col min="21" max="16384" width="8" style="1"/>
  </cols>
  <sheetData>
    <row r="1" spans="1:20" ht="27" customHeight="1">
      <c r="C1" s="53" t="s">
        <v>0</v>
      </c>
      <c r="D1" s="53"/>
      <c r="E1" s="53"/>
      <c r="F1" s="53"/>
      <c r="G1" s="5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30.75" customHeight="1">
      <c r="A3" s="57" t="s">
        <v>1</v>
      </c>
      <c r="B3" s="57" t="s">
        <v>2</v>
      </c>
      <c r="C3" s="59" t="s">
        <v>3</v>
      </c>
      <c r="D3" s="57" t="s">
        <v>4</v>
      </c>
      <c r="E3" s="57"/>
      <c r="F3" s="57"/>
      <c r="G3" s="57"/>
      <c r="H3" s="57" t="s">
        <v>5</v>
      </c>
      <c r="I3" s="57"/>
      <c r="J3" s="57"/>
      <c r="K3" s="57"/>
      <c r="L3" s="57" t="s">
        <v>6</v>
      </c>
      <c r="M3" s="57"/>
      <c r="N3" s="57"/>
      <c r="O3" s="57"/>
      <c r="P3" s="58" t="s">
        <v>7</v>
      </c>
      <c r="Q3" s="58" t="s">
        <v>46</v>
      </c>
      <c r="R3" s="58" t="s">
        <v>47</v>
      </c>
      <c r="S3" s="58" t="s">
        <v>48</v>
      </c>
      <c r="T3" s="58" t="s">
        <v>49</v>
      </c>
    </row>
    <row r="4" spans="1:20" ht="90" customHeight="1">
      <c r="A4" s="57"/>
      <c r="B4" s="57"/>
      <c r="C4" s="59"/>
      <c r="D4" s="3" t="s">
        <v>8</v>
      </c>
      <c r="E4" s="3" t="s">
        <v>55</v>
      </c>
      <c r="F4" s="3" t="s">
        <v>9</v>
      </c>
      <c r="G4" s="3" t="str">
        <f>"Налоговый потенциал по репрезента-тивной налоговой ставке  "&amp;FIXED(F10,6)&amp;", контингент"</f>
        <v>Налоговый потенциал по репрезента-тивной налоговой ставке  0,191821, контингент</v>
      </c>
      <c r="H4" s="3" t="s">
        <v>12</v>
      </c>
      <c r="I4" s="3" t="s">
        <v>56</v>
      </c>
      <c r="J4" s="3" t="s">
        <v>9</v>
      </c>
      <c r="K4" s="3" t="str">
        <f>"Налоговый потенциал по репрезента-тивной налоговой ставке  "&amp;FIXED(J10,6)&amp;",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3" t="s">
        <v>57</v>
      </c>
      <c r="N4" s="3" t="s">
        <v>9</v>
      </c>
      <c r="O4" s="3" t="str">
        <f>"Налоговый потенциал по репрезента-тивной налоговой ставке  "&amp;FIXED(N10,6)&amp;", контингент"</f>
        <v>Налоговый потенциал по репрезента-тивной налоговой ставке  0,060000, контингент</v>
      </c>
      <c r="P4" s="58"/>
      <c r="Q4" s="58"/>
      <c r="R4" s="58"/>
      <c r="S4" s="58"/>
      <c r="T4" s="58"/>
    </row>
    <row r="5" spans="1:20" s="5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6">
        <v>3</v>
      </c>
      <c r="B6" s="7" t="s">
        <v>50</v>
      </c>
      <c r="C6" s="36">
        <v>667</v>
      </c>
      <c r="D6" s="9">
        <v>9168.7999999999993</v>
      </c>
      <c r="E6" s="9">
        <v>1758.7</v>
      </c>
      <c r="F6" s="10" t="s">
        <v>10</v>
      </c>
      <c r="G6" s="11">
        <f>D6*$F$10*0.03</f>
        <v>52.763168358855829</v>
      </c>
      <c r="H6" s="9">
        <v>459334.3</v>
      </c>
      <c r="I6" s="9">
        <v>1378</v>
      </c>
      <c r="J6" s="10" t="s">
        <v>10</v>
      </c>
      <c r="K6" s="11">
        <f>H6*$J$10</f>
        <v>1378.0032570534756</v>
      </c>
      <c r="L6" s="9">
        <v>1205.7</v>
      </c>
      <c r="M6" s="9">
        <v>72.3</v>
      </c>
      <c r="N6" s="10" t="s">
        <v>10</v>
      </c>
      <c r="O6" s="11">
        <f>L6*$N$10*0.4</f>
        <v>28.936850487395077</v>
      </c>
      <c r="P6" s="11">
        <f t="shared" ref="P6:P10" si="0">O6+K6+G6</f>
        <v>1459.7032758997266</v>
      </c>
      <c r="Q6" s="9">
        <v>34.1</v>
      </c>
      <c r="R6" s="11">
        <f t="shared" ref="R6:R9" si="1">P6+Q6</f>
        <v>1493.8032758997265</v>
      </c>
      <c r="S6" s="11">
        <f t="shared" ref="S6:S10" si="2">IF(C6&lt;&gt;0,R6/C6,0)</f>
        <v>2.239585121288945</v>
      </c>
      <c r="T6" s="37">
        <f>IF($S$10&lt;&gt;0,S6/$S$10,0)</f>
        <v>1.1070818063827097</v>
      </c>
    </row>
    <row r="7" spans="1:20">
      <c r="A7" s="6">
        <v>4</v>
      </c>
      <c r="B7" s="7" t="s">
        <v>51</v>
      </c>
      <c r="C7" s="36">
        <v>2753</v>
      </c>
      <c r="D7" s="9">
        <v>65414.400000000001</v>
      </c>
      <c r="E7" s="9">
        <v>12548.7</v>
      </c>
      <c r="F7" s="10" t="s">
        <v>10</v>
      </c>
      <c r="G7" s="11">
        <f>D7*$F$10*0.03</f>
        <v>376.43650208244691</v>
      </c>
      <c r="H7" s="9">
        <v>1363859.1</v>
      </c>
      <c r="I7" s="9">
        <v>4091.6</v>
      </c>
      <c r="J7" s="10" t="s">
        <v>10</v>
      </c>
      <c r="K7" s="11">
        <f>H7*$J$10</f>
        <v>4091.5783601660532</v>
      </c>
      <c r="L7" s="9">
        <v>58781.2</v>
      </c>
      <c r="M7" s="9">
        <v>3527</v>
      </c>
      <c r="N7" s="10" t="s">
        <v>10</v>
      </c>
      <c r="O7" s="11">
        <f>L7*$N$10*0.4</f>
        <v>1410.7512613997408</v>
      </c>
      <c r="P7" s="11">
        <f t="shared" si="0"/>
        <v>5878.7661236482409</v>
      </c>
      <c r="Q7" s="9">
        <v>139.9</v>
      </c>
      <c r="R7" s="11">
        <f t="shared" si="1"/>
        <v>6018.6661236482405</v>
      </c>
      <c r="S7" s="11">
        <f t="shared" si="2"/>
        <v>2.1862208948958375</v>
      </c>
      <c r="T7" s="37">
        <f>IF($S$10&lt;&gt;0,S7/$S$10,0)</f>
        <v>1.0807025615887025</v>
      </c>
    </row>
    <row r="8" spans="1:20">
      <c r="A8" s="6">
        <v>5</v>
      </c>
      <c r="B8" s="7" t="s">
        <v>52</v>
      </c>
      <c r="C8" s="36">
        <v>1771</v>
      </c>
      <c r="D8" s="9">
        <v>25507.8</v>
      </c>
      <c r="E8" s="9">
        <v>4892</v>
      </c>
      <c r="F8" s="10" t="s">
        <v>10</v>
      </c>
      <c r="G8" s="11">
        <f>D8*$F$10*0.03</f>
        <v>146.78827609545664</v>
      </c>
      <c r="H8" s="9">
        <v>1077617.1000000001</v>
      </c>
      <c r="I8" s="9">
        <v>3232.8</v>
      </c>
      <c r="J8" s="10" t="s">
        <v>10</v>
      </c>
      <c r="K8" s="11">
        <f>H8*$J$10</f>
        <v>3232.8521376620929</v>
      </c>
      <c r="L8" s="9">
        <v>26393.8</v>
      </c>
      <c r="M8" s="9">
        <v>1583.6</v>
      </c>
      <c r="N8" s="10" t="s">
        <v>10</v>
      </c>
      <c r="O8" s="11">
        <f>L8*$N$10*0.4</f>
        <v>633.45230521208271</v>
      </c>
      <c r="P8" s="11">
        <f t="shared" si="0"/>
        <v>4013.0927189696322</v>
      </c>
      <c r="Q8" s="9">
        <v>89.8</v>
      </c>
      <c r="R8" s="11">
        <f t="shared" si="1"/>
        <v>4102.8927189696324</v>
      </c>
      <c r="S8" s="11">
        <f t="shared" si="2"/>
        <v>2.3167096098078104</v>
      </c>
      <c r="T8" s="37">
        <f>IF($S$10&lt;&gt;0,S8/$S$10,0)</f>
        <v>1.145206330989601</v>
      </c>
    </row>
    <row r="9" spans="1:20">
      <c r="A9" s="6">
        <v>7</v>
      </c>
      <c r="B9" s="7" t="s">
        <v>53</v>
      </c>
      <c r="C9" s="36">
        <v>5649</v>
      </c>
      <c r="D9" s="9">
        <v>288370.3</v>
      </c>
      <c r="E9" s="9">
        <v>55315.8</v>
      </c>
      <c r="F9" s="10" t="s">
        <v>10</v>
      </c>
      <c r="G9" s="11">
        <f>D9*$F$10*0.1</f>
        <v>5531.5601782108033</v>
      </c>
      <c r="H9" s="9">
        <v>1215855.1000000001</v>
      </c>
      <c r="I9" s="9">
        <v>3647.6</v>
      </c>
      <c r="J9" s="10" t="s">
        <v>10</v>
      </c>
      <c r="K9" s="11">
        <f>H9*$J$10</f>
        <v>3647.5662451183798</v>
      </c>
      <c r="L9" s="9">
        <v>28249.1</v>
      </c>
      <c r="M9" s="9">
        <v>1694.9</v>
      </c>
      <c r="N9" s="10" t="s">
        <v>10</v>
      </c>
      <c r="O9" s="11">
        <f>L9*$N$10*0.5</f>
        <v>847.47447862597676</v>
      </c>
      <c r="P9" s="11">
        <f t="shared" si="0"/>
        <v>10026.60090195516</v>
      </c>
      <c r="Q9" s="9">
        <v>286.89999999999998</v>
      </c>
      <c r="R9" s="11">
        <f t="shared" si="1"/>
        <v>10313.50090195516</v>
      </c>
      <c r="S9" s="11">
        <f t="shared" si="2"/>
        <v>1.8257215262799009</v>
      </c>
      <c r="T9" s="37">
        <f>IF($S$10&lt;&gt;0,S9/$S$10,0)</f>
        <v>0.90249888966152758</v>
      </c>
    </row>
    <row r="10" spans="1:20" ht="12.75">
      <c r="A10" s="12"/>
      <c r="B10" s="13" t="s">
        <v>11</v>
      </c>
      <c r="C10" s="13">
        <f>SUM(C6:C9)</f>
        <v>10840</v>
      </c>
      <c r="D10" s="14">
        <f>SUM(D6:D9)</f>
        <v>388461.3</v>
      </c>
      <c r="E10" s="14">
        <f>SUM(E6:E9)</f>
        <v>74515.200000000012</v>
      </c>
      <c r="F10" s="13">
        <f>IF(D10&lt;&gt;0,E10/D10,0)</f>
        <v>0.19182142468245875</v>
      </c>
      <c r="G10" s="14">
        <v>6107.6</v>
      </c>
      <c r="H10" s="14">
        <f>SUM(H6:H9)</f>
        <v>4116665.6</v>
      </c>
      <c r="I10" s="14">
        <f>SUM(I6:I9)</f>
        <v>12350.000000000002</v>
      </c>
      <c r="J10" s="13">
        <f>IF(H10&lt;&gt;0,I10/H10,0)</f>
        <v>3.0000007773281368E-3</v>
      </c>
      <c r="K10" s="14">
        <f>SUM(K6:K9)</f>
        <v>12350.000000000002</v>
      </c>
      <c r="L10" s="14">
        <f>SUM(L6:L9)</f>
        <v>114629.79999999999</v>
      </c>
      <c r="M10" s="14">
        <f>SUM(M6:M9)</f>
        <v>6877.7999999999993</v>
      </c>
      <c r="N10" s="13">
        <f>IF(L10&lt;&gt;0,M10/L10,0)</f>
        <v>6.0000104684820178E-2</v>
      </c>
      <c r="O10" s="14">
        <f>SUM(O6:O9)</f>
        <v>2920.6148957251953</v>
      </c>
      <c r="P10" s="11">
        <f t="shared" si="0"/>
        <v>21378.214895725199</v>
      </c>
      <c r="Q10" s="14">
        <f>SUM(Q6:Q9)</f>
        <v>550.70000000000005</v>
      </c>
      <c r="R10" s="14">
        <f>Q10+P10</f>
        <v>21928.9148957252</v>
      </c>
      <c r="S10" s="43">
        <f t="shared" si="2"/>
        <v>2.0229626287569373</v>
      </c>
      <c r="T10" s="14">
        <f>IF($S$10&lt;&gt;0,S10/$S$10,0)</f>
        <v>1</v>
      </c>
    </row>
    <row r="11" spans="1:20">
      <c r="E11" s="45"/>
    </row>
  </sheetData>
  <mergeCells count="12">
    <mergeCell ref="P3:P4"/>
    <mergeCell ref="C3:C4"/>
    <mergeCell ref="S3:S4"/>
    <mergeCell ref="T3:T4"/>
    <mergeCell ref="L3:O3"/>
    <mergeCell ref="Q3:Q4"/>
    <mergeCell ref="R3:R4"/>
    <mergeCell ref="A3:A4"/>
    <mergeCell ref="B3:B4"/>
    <mergeCell ref="D3:G3"/>
    <mergeCell ref="H3:K3"/>
    <mergeCell ref="C1:G1"/>
  </mergeCells>
  <phoneticPr fontId="4" type="noConversion"/>
  <printOptions horizontalCentered="1" verticalCentered="1"/>
  <pageMargins left="0.31496062992125984" right="0.19685039370078741" top="0.19685039370078741" bottom="0.19685039370078741" header="0.15748031496062992" footer="0.15748031496062992"/>
  <pageSetup paperSize="9" scale="70" orientation="landscape" r:id="rId1"/>
  <headerFooter alignWithMargins="0"/>
  <colBreaks count="1" manualBreakCount="1">
    <brk id="1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3" sqref="G13"/>
    </sheetView>
  </sheetViews>
  <sheetFormatPr defaultColWidth="8" defaultRowHeight="11.25"/>
  <cols>
    <col min="1" max="1" width="3.28515625" style="1" customWidth="1"/>
    <col min="2" max="2" width="22.140625" style="1" customWidth="1"/>
    <col min="3" max="8" width="10.85546875" style="1" customWidth="1"/>
    <col min="9" max="9" width="12.140625" style="1" customWidth="1"/>
    <col min="10" max="10" width="10.5703125" style="1" customWidth="1"/>
    <col min="11" max="11" width="10.140625" style="1" customWidth="1"/>
    <col min="12" max="12" width="10" style="1" customWidth="1"/>
    <col min="13" max="16384" width="8" style="1"/>
  </cols>
  <sheetData>
    <row r="1" spans="1:13" ht="27" customHeight="1">
      <c r="C1" s="53" t="s">
        <v>41</v>
      </c>
      <c r="D1" s="53"/>
      <c r="E1" s="53"/>
      <c r="F1" s="53"/>
      <c r="G1" s="53"/>
      <c r="H1" s="53"/>
    </row>
    <row r="3" spans="1:13" ht="30.75" customHeight="1">
      <c r="A3" s="57" t="s">
        <v>1</v>
      </c>
      <c r="B3" s="57" t="s">
        <v>2</v>
      </c>
      <c r="C3" s="59" t="s">
        <v>3</v>
      </c>
      <c r="D3" s="58" t="s">
        <v>49</v>
      </c>
      <c r="E3" s="46" t="s">
        <v>18</v>
      </c>
      <c r="F3" s="46" t="s">
        <v>14</v>
      </c>
      <c r="G3" s="46" t="s">
        <v>15</v>
      </c>
      <c r="H3" s="46" t="s">
        <v>17</v>
      </c>
      <c r="I3" s="48" t="s">
        <v>44</v>
      </c>
      <c r="J3" s="48" t="s">
        <v>42</v>
      </c>
      <c r="K3" s="46" t="s">
        <v>45</v>
      </c>
      <c r="L3" s="48" t="s">
        <v>43</v>
      </c>
      <c r="M3" s="48" t="s">
        <v>54</v>
      </c>
    </row>
    <row r="4" spans="1:13" ht="110.25" customHeight="1">
      <c r="A4" s="57"/>
      <c r="B4" s="57"/>
      <c r="C4" s="59"/>
      <c r="D4" s="58"/>
      <c r="E4" s="47"/>
      <c r="F4" s="47"/>
      <c r="G4" s="47"/>
      <c r="H4" s="47"/>
      <c r="I4" s="48"/>
      <c r="J4" s="48"/>
      <c r="K4" s="47"/>
      <c r="L4" s="48"/>
      <c r="M4" s="48"/>
    </row>
    <row r="5" spans="1:13" s="5" customFormat="1">
      <c r="A5" s="4"/>
      <c r="B5" s="4"/>
      <c r="C5" s="4"/>
      <c r="D5" s="4"/>
      <c r="E5" s="4"/>
      <c r="F5" s="4"/>
      <c r="G5" s="16">
        <v>0.78</v>
      </c>
      <c r="H5" s="16">
        <v>0</v>
      </c>
      <c r="I5" s="4"/>
      <c r="J5" s="4"/>
      <c r="K5" s="4"/>
      <c r="L5" s="4"/>
      <c r="M5" s="4"/>
    </row>
    <row r="6" spans="1:13">
      <c r="A6" s="6">
        <v>3</v>
      </c>
      <c r="B6" s="7" t="s">
        <v>50</v>
      </c>
      <c r="C6" s="36">
        <f>ИБР!C6</f>
        <v>667</v>
      </c>
      <c r="D6" s="28">
        <f>ИНП!T6</f>
        <v>1.1070818063827097</v>
      </c>
      <c r="E6" s="28">
        <f>ИБР!Y6</f>
        <v>1.4040084161982156</v>
      </c>
      <c r="F6" s="37">
        <f t="shared" ref="F6:F10" si="0">IF(E6&lt;&gt;0,D6/E6,0)</f>
        <v>0.78851507840706114</v>
      </c>
      <c r="G6" s="17">
        <f>IF(F6&lt;$G$5,($G$5-F6)*E6*$G$12*C6/$C$10,0)</f>
        <v>0</v>
      </c>
      <c r="H6" s="17">
        <f>IF($G$10&lt;&gt;0,ROUND(G6/$G$10*$H$5,1),0)</f>
        <v>0</v>
      </c>
      <c r="I6" s="16">
        <v>1759.4</v>
      </c>
      <c r="J6" s="41">
        <f t="shared" ref="J6:J9" si="1">I6+H6</f>
        <v>1759.4</v>
      </c>
      <c r="K6" s="42">
        <v>1671</v>
      </c>
      <c r="L6" s="41">
        <f t="shared" ref="L6:L9" si="2">J6-K6</f>
        <v>88.400000000000091</v>
      </c>
      <c r="M6" s="41">
        <v>0</v>
      </c>
    </row>
    <row r="7" spans="1:13">
      <c r="A7" s="6">
        <v>4</v>
      </c>
      <c r="B7" s="7" t="s">
        <v>51</v>
      </c>
      <c r="C7" s="36">
        <f>ИБР!C7</f>
        <v>2753</v>
      </c>
      <c r="D7" s="28">
        <f>ИНП!T7</f>
        <v>1.0807025615887025</v>
      </c>
      <c r="E7" s="28">
        <f>ИБР!Y7</f>
        <v>0.92432159942833247</v>
      </c>
      <c r="F7" s="37">
        <f t="shared" si="0"/>
        <v>1.1691845806233321</v>
      </c>
      <c r="G7" s="17">
        <f>IF(F7&lt;$G$5,($G$5-F7)*E7*$G$12*C7/$C$10,0)</f>
        <v>0</v>
      </c>
      <c r="H7" s="17">
        <f>IF($G$10&lt;&gt;0,ROUND(G7/$G$10*$H$5,1),0)</f>
        <v>0</v>
      </c>
      <c r="I7" s="16">
        <v>6271.7</v>
      </c>
      <c r="J7" s="41">
        <f t="shared" si="1"/>
        <v>6271.7</v>
      </c>
      <c r="K7" s="42">
        <v>5116.6000000000004</v>
      </c>
      <c r="L7" s="41">
        <f t="shared" si="2"/>
        <v>1155.0999999999995</v>
      </c>
      <c r="M7" s="41">
        <v>0</v>
      </c>
    </row>
    <row r="8" spans="1:13">
      <c r="A8" s="6">
        <v>5</v>
      </c>
      <c r="B8" s="7" t="s">
        <v>52</v>
      </c>
      <c r="C8" s="36">
        <f>ИБР!C8</f>
        <v>1771</v>
      </c>
      <c r="D8" s="28">
        <f>ИНП!T8</f>
        <v>1.145206330989601</v>
      </c>
      <c r="E8" s="28">
        <f>ИБР!Y8</f>
        <v>1.0469751577871027</v>
      </c>
      <c r="F8" s="37">
        <f t="shared" si="0"/>
        <v>1.0938237860486784</v>
      </c>
      <c r="G8" s="17">
        <f>IF(F8&lt;$G$5,($G$5-F8)*E8*$G$12*C8/$C$10,0)</f>
        <v>0</v>
      </c>
      <c r="H8" s="17">
        <f>IF($G$10&lt;&gt;0,ROUND(G8/$G$10*$H$5,1),0)</f>
        <v>0</v>
      </c>
      <c r="I8" s="16">
        <v>4345</v>
      </c>
      <c r="J8" s="41">
        <f t="shared" si="1"/>
        <v>4345</v>
      </c>
      <c r="K8" s="42">
        <v>3889</v>
      </c>
      <c r="L8" s="41">
        <f t="shared" si="2"/>
        <v>456</v>
      </c>
      <c r="M8" s="41">
        <v>0</v>
      </c>
    </row>
    <row r="9" spans="1:13">
      <c r="A9" s="6">
        <v>7</v>
      </c>
      <c r="B9" s="7" t="s">
        <v>53</v>
      </c>
      <c r="C9" s="36">
        <f>ИБР!C9</f>
        <v>5649</v>
      </c>
      <c r="D9" s="28">
        <f>ИНП!T9</f>
        <v>0.90249888966152758</v>
      </c>
      <c r="E9" s="28">
        <f>ИБР!Y9</f>
        <v>0.87484089389807529</v>
      </c>
      <c r="F9" s="37">
        <f t="shared" si="0"/>
        <v>1.0316148867255337</v>
      </c>
      <c r="G9" s="17">
        <f>IF(F9&lt;$G$5,($G$5-F9)*E9*$G$12*C9/$C$10,0)</f>
        <v>0</v>
      </c>
      <c r="H9" s="17">
        <f>IF($G$10&lt;&gt;0,ROUND(G9/$G$10*$H$5,1),0)</f>
        <v>0</v>
      </c>
      <c r="I9" s="16">
        <v>11247.4</v>
      </c>
      <c r="J9" s="41">
        <f t="shared" si="1"/>
        <v>11247.4</v>
      </c>
      <c r="K9" s="42">
        <v>5860.2</v>
      </c>
      <c r="L9" s="41">
        <f t="shared" si="2"/>
        <v>5387.2</v>
      </c>
      <c r="M9" s="41">
        <v>0</v>
      </c>
    </row>
    <row r="10" spans="1:13" ht="12.75">
      <c r="A10" s="12"/>
      <c r="B10" s="13" t="s">
        <v>11</v>
      </c>
      <c r="C10" s="44">
        <f>SUM(C6:C9)</f>
        <v>10840</v>
      </c>
      <c r="D10" s="38">
        <f>ИНП!T10</f>
        <v>1</v>
      </c>
      <c r="E10" s="38">
        <f>ИБР!Y10</f>
        <v>1</v>
      </c>
      <c r="F10" s="39">
        <f t="shared" si="0"/>
        <v>1</v>
      </c>
      <c r="G10" s="40">
        <f>SUM(G6:G9)</f>
        <v>0</v>
      </c>
      <c r="H10" s="40">
        <f>IF($G$10&lt;&gt;0,ROUND(G10/$G$10*$H$5,1),0)</f>
        <v>0</v>
      </c>
      <c r="I10" s="40">
        <f>SUM(I6:I9)</f>
        <v>23623.5</v>
      </c>
      <c r="J10" s="40">
        <f>I10+H10</f>
        <v>23623.5</v>
      </c>
      <c r="K10" s="40">
        <f>SUM(K6:K9)</f>
        <v>16536.8</v>
      </c>
      <c r="L10" s="40">
        <f>J10-K10</f>
        <v>7086.7000000000007</v>
      </c>
      <c r="M10" s="40">
        <f>SUM(M6:M9)</f>
        <v>0</v>
      </c>
    </row>
    <row r="12" spans="1:13">
      <c r="F12" s="18" t="s">
        <v>16</v>
      </c>
      <c r="G12" s="9">
        <v>23072.799999999999</v>
      </c>
    </row>
  </sheetData>
  <mergeCells count="14">
    <mergeCell ref="M3:M4"/>
    <mergeCell ref="L3:L4"/>
    <mergeCell ref="K3:K4"/>
    <mergeCell ref="C1:H1"/>
    <mergeCell ref="C3:C4"/>
    <mergeCell ref="G3:G4"/>
    <mergeCell ref="H3:H4"/>
    <mergeCell ref="F3:F4"/>
    <mergeCell ref="J3:J4"/>
    <mergeCell ref="A3:A4"/>
    <mergeCell ref="B3:B4"/>
    <mergeCell ref="D3:D4"/>
    <mergeCell ref="E3:E4"/>
    <mergeCell ref="I3:I4"/>
  </mergeCells>
  <phoneticPr fontId="4" type="noConversion"/>
  <printOptions horizontalCentered="1" verticalCentered="1"/>
  <pageMargins left="0.31496062992125984" right="0.19685039370078741" top="0.19685039370078741" bottom="0.19685039370078741" header="0.15748031496062992" footer="0.15748031496062992"/>
  <pageSetup paperSize="9" scale="8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ИБР</vt:lpstr>
      <vt:lpstr>ИНП</vt:lpstr>
      <vt:lpstr>Дот</vt:lpstr>
      <vt:lpstr>Дот!Заголовки_для_печати</vt:lpstr>
      <vt:lpstr>ИБР!Заголовки_для_печати</vt:lpstr>
      <vt:lpstr>ИНП!Заголовки_для_печати</vt:lpstr>
      <vt:lpstr>ИБР!Область_печати</vt:lpstr>
      <vt:lpstr>ИНП!Область_печати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1</cp:lastModifiedBy>
  <cp:lastPrinted>2018-11-06T11:27:32Z</cp:lastPrinted>
  <dcterms:created xsi:type="dcterms:W3CDTF">2008-12-18T12:36:24Z</dcterms:created>
  <dcterms:modified xsi:type="dcterms:W3CDTF">2018-11-15T04:16:06Z</dcterms:modified>
</cp:coreProperties>
</file>